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" yWindow="33" windowWidth="9271" windowHeight="4608" tabRatio="777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<sst xmlns="http://schemas.openxmlformats.org/spreadsheetml/2006/main" count="198" uniqueCount="173">
  <si>
    <t>Оглавление</t>
  </si>
  <si>
    <t xml:space="preserve">   Расчёт числа витков</t>
  </si>
  <si>
    <t xml:space="preserve">  однослойной катушки</t>
  </si>
  <si>
    <t>Исходные данные:</t>
  </si>
  <si>
    <r>
      <t xml:space="preserve">Индуктивность (мкГн)  </t>
    </r>
    <r>
      <rPr>
        <b/>
        <sz val="10"/>
        <color indexed="12"/>
        <rFont val="Arial Cyr"/>
        <family val="2"/>
      </rPr>
      <t xml:space="preserve"> </t>
    </r>
  </si>
  <si>
    <t>Диаметр провода (мм)</t>
  </si>
  <si>
    <t>Диаметр оправки (мм)</t>
  </si>
  <si>
    <t>Результаты :</t>
  </si>
  <si>
    <t>Количество витков</t>
  </si>
  <si>
    <t>Шаг намотки (мм)</t>
  </si>
  <si>
    <t xml:space="preserve">  лампового выходного каскада</t>
  </si>
  <si>
    <t>Рабочая частота (МгГц)</t>
  </si>
  <si>
    <t>Анодное напряжение (В)</t>
  </si>
  <si>
    <t>Анодный ток (А)</t>
  </si>
  <si>
    <t>Расчётная добротность</t>
  </si>
  <si>
    <t>Сопротивление нагрузки (Ом)</t>
  </si>
  <si>
    <t>Диаметр провода катушки (мм)</t>
  </si>
  <si>
    <t>Параметры контура:</t>
  </si>
  <si>
    <t>Индуктивность (мкГн)</t>
  </si>
  <si>
    <t>Емкость контура (пф)</t>
  </si>
  <si>
    <t>Параметры оптимальной катушки:</t>
  </si>
  <si>
    <t>Число витков</t>
  </si>
  <si>
    <t>Длина обмотки (мм)</t>
  </si>
  <si>
    <t>Зазор между витками (мм)</t>
  </si>
  <si>
    <t>Расстояние от катушки до</t>
  </si>
  <si>
    <t>Расстояние катушки от</t>
  </si>
  <si>
    <t>Требуемая индуктивность</t>
  </si>
  <si>
    <t xml:space="preserve">Этому вибратору требуется </t>
  </si>
  <si>
    <t>"шляпа" диаметром (мм)</t>
  </si>
  <si>
    <t xml:space="preserve">Укороченная антенна с </t>
  </si>
  <si>
    <t>удлиняющей катушкой</t>
  </si>
  <si>
    <t xml:space="preserve">Двухдиапазонная антенна с трапом  </t>
  </si>
  <si>
    <t xml:space="preserve">катушки (мкГн)                </t>
  </si>
  <si>
    <t>Иcходные данные:</t>
  </si>
  <si>
    <t>Вертикальная антенна со</t>
  </si>
  <si>
    <t xml:space="preserve"> "шляпой" в виде диска</t>
  </si>
  <si>
    <r>
      <t xml:space="preserve">                </t>
    </r>
    <r>
      <rPr>
        <b/>
        <sz val="14"/>
        <color indexed="12"/>
        <rFont val="Arial Cyr"/>
        <family val="2"/>
      </rPr>
      <t xml:space="preserve"> П-контур</t>
    </r>
  </si>
  <si>
    <t>произвольных размеров</t>
  </si>
  <si>
    <t xml:space="preserve">Индуктивность (мкГн) </t>
  </si>
  <si>
    <t>Результат:</t>
  </si>
  <si>
    <t>Результаты:</t>
  </si>
  <si>
    <t>Большая частота (МгГц)</t>
  </si>
  <si>
    <t>Меньшая  частота (МгГц)</t>
  </si>
  <si>
    <t>Длина отрезка h2  (мм)</t>
  </si>
  <si>
    <t>Диаметр прооводника (мм)</t>
  </si>
  <si>
    <t>Длина отрезка h1 (мм)</t>
  </si>
  <si>
    <t>Индуктивность трапа  (мкГн)</t>
  </si>
  <si>
    <t>Емкость трапа (пикофарады)</t>
  </si>
  <si>
    <t>Результаты расчёта:</t>
  </si>
  <si>
    <t xml:space="preserve">                        для неё полноразмерным четверть-волновым GP или половиной диполя.</t>
  </si>
  <si>
    <r>
      <t xml:space="preserve">  </t>
    </r>
    <r>
      <rPr>
        <b/>
        <sz val="12"/>
        <color indexed="12"/>
        <rFont val="Arial Cyr"/>
        <family val="2"/>
      </rPr>
      <t>Расчёт оптимальной катушки</t>
    </r>
  </si>
  <si>
    <t>73,  de UA4RO</t>
  </si>
  <si>
    <r>
      <t xml:space="preserve">                        Длина отрезка  </t>
    </r>
    <r>
      <rPr>
        <b/>
        <sz val="10"/>
        <rFont val="Arial Cyr"/>
        <family val="2"/>
      </rPr>
      <t>h2</t>
    </r>
    <r>
      <rPr>
        <sz val="10"/>
        <rFont val="Arial Cyr"/>
        <family val="0"/>
      </rPr>
      <t xml:space="preserve">  может быть выбрана произвольно,  но так, чтобы сумма </t>
    </r>
  </si>
  <si>
    <r>
      <t xml:space="preserve">                        длин отрезков </t>
    </r>
    <r>
      <rPr>
        <b/>
        <sz val="10"/>
        <rFont val="Arial Cyr"/>
        <family val="2"/>
      </rPr>
      <t>h1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2"/>
      </rPr>
      <t>h2</t>
    </r>
    <r>
      <rPr>
        <sz val="10"/>
        <rFont val="Arial Cyr"/>
        <family val="0"/>
      </rPr>
      <t xml:space="preserve"> была меньше 1/4 волны для </t>
    </r>
    <r>
      <rPr>
        <b/>
        <sz val="10"/>
        <rFont val="Arial Cyr"/>
        <family val="2"/>
      </rPr>
      <t>меньшей</t>
    </r>
    <r>
      <rPr>
        <sz val="10"/>
        <rFont val="Arial Cyr"/>
        <family val="0"/>
      </rPr>
      <t xml:space="preserve"> из частот.</t>
    </r>
  </si>
  <si>
    <r>
      <t xml:space="preserve">большей </t>
    </r>
    <r>
      <rPr>
        <sz val="10"/>
        <rFont val="Arial Cyr"/>
        <family val="0"/>
      </rPr>
      <t xml:space="preserve">из рабочих частот, т.к. является </t>
    </r>
  </si>
  <si>
    <t>73, de UA4RO</t>
  </si>
  <si>
    <t xml:space="preserve">                  спирали из того же провода, что и вибратор,</t>
  </si>
  <si>
    <r>
      <t xml:space="preserve">Примечание: </t>
    </r>
    <r>
      <rPr>
        <sz val="10"/>
        <color indexed="8"/>
        <rFont val="Arial Cyr"/>
        <family val="2"/>
      </rPr>
      <t>Если желаете изготовить катушку в виде</t>
    </r>
  </si>
  <si>
    <t xml:space="preserve">  используйте Лист3 этой книги.</t>
  </si>
  <si>
    <r>
      <t xml:space="preserve">Примечания:  1.  </t>
    </r>
    <r>
      <rPr>
        <sz val="10"/>
        <rFont val="Arial Cyr"/>
        <family val="0"/>
      </rPr>
      <t xml:space="preserve">Длина отрезка </t>
    </r>
    <r>
      <rPr>
        <b/>
        <sz val="10"/>
        <rFont val="Arial Cyr"/>
        <family val="2"/>
      </rPr>
      <t>h1</t>
    </r>
    <r>
      <rPr>
        <sz val="10"/>
        <rFont val="Arial Cyr"/>
        <family val="0"/>
      </rPr>
      <t xml:space="preserve"> определяется </t>
    </r>
  </si>
  <si>
    <t xml:space="preserve">        провода, из которого изготовлен вибратор, используйте Лист3.</t>
  </si>
  <si>
    <r>
      <t xml:space="preserve">        </t>
    </r>
    <r>
      <rPr>
        <b/>
        <sz val="10"/>
        <rFont val="Arial Cyr"/>
        <family val="2"/>
      </rPr>
      <t>2</t>
    </r>
    <r>
      <rPr>
        <sz val="10"/>
        <rFont val="Arial Cyr"/>
        <family val="0"/>
      </rPr>
      <t>. Если  желаете  спроектировать  катушку  в  виде  спирали  из того же</t>
    </r>
  </si>
  <si>
    <t>Лист 2</t>
  </si>
  <si>
    <t>Лист 3</t>
  </si>
  <si>
    <t>Лист 4</t>
  </si>
  <si>
    <t>Лист 5</t>
  </si>
  <si>
    <t>Лист 6</t>
  </si>
  <si>
    <t>Лист 7</t>
  </si>
  <si>
    <t>Расчёт числа витков катушки произвольных размеров</t>
  </si>
  <si>
    <t xml:space="preserve">Расчёт оптимальной  катушки </t>
  </si>
  <si>
    <t>П-контур лампового выходного каскада</t>
  </si>
  <si>
    <t>Вертикальная антенна со "шляпой" в виде диска</t>
  </si>
  <si>
    <t>Укороченная антенна с удлинительной катушкой</t>
  </si>
  <si>
    <t>Двухдиапазонная антенна с трапом</t>
  </si>
  <si>
    <r>
      <t>для зарядного устройства</t>
    </r>
    <r>
      <rPr>
        <sz val="10"/>
        <rFont val="Arial Cyr"/>
        <family val="0"/>
      </rPr>
      <t xml:space="preserve"> (см. рис1)</t>
    </r>
  </si>
  <si>
    <t>Напряжение питающей сети</t>
  </si>
  <si>
    <t>Частота тока питающей сети</t>
  </si>
  <si>
    <t>Величина зарядного тока (мА)</t>
  </si>
  <si>
    <t>Результат расчёта:</t>
  </si>
  <si>
    <t>73! de UA4RO</t>
  </si>
  <si>
    <t>Определение диаметра медного провода</t>
  </si>
  <si>
    <t>для плавких предохранителей на ток &lt; 6 Amp</t>
  </si>
  <si>
    <t>Величина тока срабатывания</t>
  </si>
  <si>
    <t>Необходимый диаметр провода</t>
  </si>
  <si>
    <t>для плавких предохранителей на ток &gt; 6 Amp</t>
  </si>
  <si>
    <t>Лист 8</t>
  </si>
  <si>
    <t>Лист 9</t>
  </si>
  <si>
    <t>Расчёт ёмкости конденсатора для зарядного устройства</t>
  </si>
  <si>
    <t>Определение диаметра медного провода для плавкого предохранителя</t>
  </si>
  <si>
    <t xml:space="preserve">основной элемент зарядного устройства.  </t>
  </si>
  <si>
    <t xml:space="preserve">  Данную схему следует рассматривать, </t>
  </si>
  <si>
    <t>При её использовании следует помнить,</t>
  </si>
  <si>
    <t>что она имеет непосредственную связь</t>
  </si>
  <si>
    <t>с сетью, а это требует соблюдения мер</t>
  </si>
  <si>
    <t>безопасности. Заряжаемый аккумулятор</t>
  </si>
  <si>
    <r>
      <t xml:space="preserve">подключать  и  отключать  </t>
    </r>
    <r>
      <rPr>
        <b/>
        <sz val="10"/>
        <color indexed="10"/>
        <rFont val="Arial Cyr"/>
        <family val="2"/>
      </rPr>
      <t xml:space="preserve">только </t>
    </r>
    <r>
      <rPr>
        <sz val="10"/>
        <rFont val="Arial Cyr"/>
        <family val="0"/>
      </rPr>
      <t xml:space="preserve"> при</t>
    </r>
  </si>
  <si>
    <t>выключенной сети.</t>
  </si>
  <si>
    <t xml:space="preserve">                   73, de UA4RO </t>
  </si>
  <si>
    <t>Расчёт ёмкости конденсатора</t>
  </si>
  <si>
    <t>Требуемая ёмкость    (мкФ)</t>
  </si>
  <si>
    <t>случаях может оказаться полезной эта</t>
  </si>
  <si>
    <t xml:space="preserve">  Нередко случается, что под рукой нет</t>
  </si>
  <si>
    <t xml:space="preserve">походящего предохранителя.    В  таких </t>
  </si>
  <si>
    <t>утилита.</t>
  </si>
  <si>
    <t>такая, которая обладает максимально возможной</t>
  </si>
  <si>
    <t xml:space="preserve">      Под оптимальной катушкой подразумевается</t>
  </si>
  <si>
    <t xml:space="preserve">добротностью при заданном диаметре провода.  </t>
  </si>
  <si>
    <t xml:space="preserve">      При этом и расход провода минимален.</t>
  </si>
  <si>
    <t>с  оптимальным  шагом</t>
  </si>
  <si>
    <t xml:space="preserve">            емкость катушки.</t>
  </si>
  <si>
    <r>
      <t xml:space="preserve">        </t>
    </r>
    <r>
      <rPr>
        <b/>
        <sz val="10"/>
        <rFont val="Arial Cyr"/>
        <family val="2"/>
      </rPr>
      <t>3.</t>
    </r>
    <r>
      <rPr>
        <sz val="10"/>
        <rFont val="Arial Cyr"/>
        <family val="0"/>
      </rPr>
      <t xml:space="preserve"> Следует учитывать, что емкость трапа включает в себя и собственную</t>
    </r>
  </si>
  <si>
    <t>Величина ёмкости С1 (пф)</t>
  </si>
  <si>
    <t>Основной расчёт</t>
  </si>
  <si>
    <t>Частота генератора (кГц)</t>
  </si>
  <si>
    <t>Результат выяисления:</t>
  </si>
  <si>
    <t>Вспомогательный расчёт</t>
  </si>
  <si>
    <t>Результат вычислений:</t>
  </si>
  <si>
    <t>Лист 10</t>
  </si>
  <si>
    <t>Определение величины индуктивности катушки</t>
  </si>
  <si>
    <t xml:space="preserve">C3 - 47пф </t>
  </si>
  <si>
    <t>Полевой транзистор КП303Е</t>
  </si>
  <si>
    <t>L - измеряемая индуктивность</t>
  </si>
  <si>
    <t>цифровой частомер и конденсатор, емкость которого известна</t>
  </si>
  <si>
    <t>схема которого приведена ниже.</t>
  </si>
  <si>
    <t>для катушек одной и той же конструкции можно пользоваться</t>
  </si>
  <si>
    <t xml:space="preserve">    Когда нет прибора для измерения индуктивности, но есть</t>
  </si>
  <si>
    <t>катушки  можно  воспользоваться  простейшим  генератором,</t>
  </si>
  <si>
    <t>с  точностью   0.5 - 1% ,   то для определения индуктивности</t>
  </si>
  <si>
    <t xml:space="preserve">    Целью предварительного расчёта является определение</t>
  </si>
  <si>
    <t>величины  входной  емкости  Cвх, вносимой генератором в</t>
  </si>
  <si>
    <r>
      <t xml:space="preserve">колебательный контур. При этом в качестве </t>
    </r>
    <r>
      <rPr>
        <b/>
        <sz val="10"/>
        <rFont val="Arial Cyr"/>
        <family val="2"/>
      </rPr>
      <t>С</t>
    </r>
    <r>
      <rPr>
        <sz val="10"/>
        <rFont val="Arial Cyr"/>
        <family val="0"/>
      </rPr>
      <t xml:space="preserve"> используется</t>
    </r>
  </si>
  <si>
    <t>вспомогательный конденсатор с заранее известной величиной</t>
  </si>
  <si>
    <t>емкости.     А когда Cвх генератора однажды определена, то</t>
  </si>
  <si>
    <t>основным расчётом. Но для разнотипных катушек с целью по-</t>
  </si>
  <si>
    <t>вышения точности  Cвх  желательно определять заново, т.к. в</t>
  </si>
  <si>
    <t>в её состав неибежно входит собственная ёмкость катушки.</t>
  </si>
  <si>
    <t>C - вспомогательный конден-</t>
  </si>
  <si>
    <t xml:space="preserve">     сатор.</t>
  </si>
  <si>
    <r>
      <t xml:space="preserve">Частота генератора без ёмкости </t>
    </r>
    <r>
      <rPr>
        <b/>
        <sz val="10"/>
        <rFont val="Arial Cyr"/>
        <family val="2"/>
      </rPr>
      <t>С</t>
    </r>
    <r>
      <rPr>
        <sz val="10"/>
        <rFont val="Arial Cyr"/>
        <family val="0"/>
      </rPr>
      <t xml:space="preserve"> (кГц)</t>
    </r>
  </si>
  <si>
    <r>
      <t xml:space="preserve">Частота генератора с ёмкостью  </t>
    </r>
    <r>
      <rPr>
        <b/>
        <sz val="10"/>
        <rFont val="Arial Cyr"/>
        <family val="2"/>
      </rPr>
      <t>С</t>
    </r>
    <r>
      <rPr>
        <sz val="10"/>
        <rFont val="Arial Cyr"/>
        <family val="0"/>
      </rPr>
      <t xml:space="preserve"> (кГц)</t>
    </r>
  </si>
  <si>
    <t>R1 -  1кОм</t>
  </si>
  <si>
    <t>C1, C2 -  68пф</t>
  </si>
  <si>
    <r>
      <t xml:space="preserve">Величина ёмкости </t>
    </r>
    <r>
      <rPr>
        <b/>
        <sz val="10"/>
        <rFont val="Arial Cyr"/>
        <family val="2"/>
      </rPr>
      <t>С</t>
    </r>
    <r>
      <rPr>
        <sz val="10"/>
        <rFont val="Arial Cyr"/>
        <family val="0"/>
      </rPr>
      <t xml:space="preserve"> (пф)</t>
    </r>
  </si>
  <si>
    <t>Определение емкости конденсатора</t>
  </si>
  <si>
    <t>Ёмкость конденсатора (пФ)</t>
  </si>
  <si>
    <t>Входная ёмкость генератора Свх (пФ)</t>
  </si>
  <si>
    <r>
      <t>Частота с "эталонной" инд-стью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(МгГц)</t>
    </r>
  </si>
  <si>
    <t>Величина "эталонной" индук-сти (мкГн)</t>
  </si>
  <si>
    <t>R2 - 300 Ом</t>
  </si>
  <si>
    <t>D1 - Стабилитрон КС191</t>
  </si>
  <si>
    <t xml:space="preserve">     Имея известную по величине индуктивность, можно этим</t>
  </si>
  <si>
    <t>способом измерять ёмкость конденсаторов.</t>
  </si>
  <si>
    <t>73! De UA4RO</t>
  </si>
  <si>
    <t>Определение величины индуктивности катушк и ёмкости конденсаторов</t>
  </si>
  <si>
    <r>
      <t xml:space="preserve">Высота вибратора </t>
    </r>
    <r>
      <rPr>
        <b/>
        <sz val="10"/>
        <color indexed="12"/>
        <rFont val="Arial Cyr"/>
        <family val="2"/>
      </rPr>
      <t>H</t>
    </r>
    <r>
      <rPr>
        <sz val="10"/>
        <color indexed="12"/>
        <rFont val="Arial Cyr"/>
        <family val="2"/>
      </rPr>
      <t xml:space="preserve"> (мм)</t>
    </r>
  </si>
  <si>
    <r>
      <t xml:space="preserve">диск диаметром </t>
    </r>
    <r>
      <rPr>
        <b/>
        <sz val="10"/>
        <color indexed="10"/>
        <rFont val="Arial Cyr"/>
        <family val="2"/>
      </rPr>
      <t>D</t>
    </r>
    <r>
      <rPr>
        <sz val="10"/>
        <color indexed="10"/>
        <rFont val="Arial Cyr"/>
        <family val="2"/>
      </rPr>
      <t xml:space="preserve">  (мм)</t>
    </r>
  </si>
  <si>
    <t>Под оптимальным шагом понимается такой,</t>
  </si>
  <si>
    <t>при котором обеспечивается максимальная</t>
  </si>
  <si>
    <t>добротность катушки.</t>
  </si>
  <si>
    <r>
      <t xml:space="preserve">       конца  вибратора </t>
    </r>
    <r>
      <rPr>
        <b/>
        <sz val="10"/>
        <color indexed="12"/>
        <rFont val="Arial Cyr"/>
        <family val="2"/>
      </rPr>
      <t>h2</t>
    </r>
    <r>
      <rPr>
        <sz val="10"/>
        <color indexed="12"/>
        <rFont val="Arial Cyr"/>
        <family val="2"/>
      </rPr>
      <t xml:space="preserve"> (мм)</t>
    </r>
  </si>
  <si>
    <r>
      <t xml:space="preserve">       точки    питания   </t>
    </r>
    <r>
      <rPr>
        <b/>
        <sz val="10"/>
        <color indexed="12"/>
        <rFont val="Arial Cyr"/>
        <family val="2"/>
      </rPr>
      <t>h1</t>
    </r>
    <r>
      <rPr>
        <sz val="10"/>
        <color indexed="12"/>
        <rFont val="Arial Cyr"/>
        <family val="2"/>
      </rPr>
      <t xml:space="preserve"> (мм)</t>
    </r>
  </si>
  <si>
    <r>
      <t xml:space="preserve">Диаметр провода </t>
    </r>
    <r>
      <rPr>
        <b/>
        <sz val="10"/>
        <color indexed="12"/>
        <rFont val="Arial Cyr"/>
        <family val="2"/>
      </rPr>
      <t>d</t>
    </r>
    <r>
      <rPr>
        <sz val="10"/>
        <color indexed="12"/>
        <rFont val="Arial Cyr"/>
        <family val="2"/>
      </rPr>
      <t xml:space="preserve"> (мм)</t>
    </r>
  </si>
  <si>
    <r>
      <t xml:space="preserve">Диаметр оправки </t>
    </r>
    <r>
      <rPr>
        <b/>
        <sz val="10"/>
        <color indexed="12"/>
        <rFont val="Arial Cyr"/>
        <family val="2"/>
      </rPr>
      <t>D</t>
    </r>
    <r>
      <rPr>
        <sz val="10"/>
        <color indexed="12"/>
        <rFont val="Arial Cyr"/>
        <family val="2"/>
      </rPr>
      <t xml:space="preserve"> (мм)</t>
    </r>
  </si>
  <si>
    <r>
      <t xml:space="preserve">Длина катушки  </t>
    </r>
    <r>
      <rPr>
        <b/>
        <sz val="10"/>
        <color indexed="12"/>
        <rFont val="Arial Cyr"/>
        <family val="2"/>
      </rPr>
      <t>h</t>
    </r>
    <r>
      <rPr>
        <sz val="10"/>
        <color indexed="12"/>
        <rFont val="Arial Cyr"/>
        <family val="2"/>
      </rPr>
      <t xml:space="preserve">  (мм)</t>
    </r>
  </si>
  <si>
    <r>
      <t xml:space="preserve">Диаметр провода </t>
    </r>
    <r>
      <rPr>
        <b/>
        <sz val="10"/>
        <color indexed="12"/>
        <rFont val="Arial Cyr"/>
        <family val="2"/>
      </rPr>
      <t xml:space="preserve"> d </t>
    </r>
    <r>
      <rPr>
        <sz val="10"/>
        <color indexed="12"/>
        <rFont val="Arial Cyr"/>
        <family val="2"/>
      </rPr>
      <t>(мм)</t>
    </r>
  </si>
  <si>
    <r>
      <t xml:space="preserve">Диаметр оправки </t>
    </r>
    <r>
      <rPr>
        <b/>
        <sz val="10"/>
        <color indexed="10"/>
        <rFont val="Arial Cyr"/>
        <family val="2"/>
      </rPr>
      <t>D</t>
    </r>
    <r>
      <rPr>
        <sz val="10"/>
        <color indexed="10"/>
        <rFont val="Arial Cyr"/>
        <family val="2"/>
      </rPr>
      <t xml:space="preserve"> (мм)</t>
    </r>
  </si>
  <si>
    <r>
      <t xml:space="preserve">Длина обмотки </t>
    </r>
    <r>
      <rPr>
        <b/>
        <sz val="10"/>
        <color indexed="10"/>
        <rFont val="Arial Cyr"/>
        <family val="2"/>
      </rPr>
      <t>h</t>
    </r>
    <r>
      <rPr>
        <sz val="10"/>
        <color indexed="10"/>
        <rFont val="Arial Cyr"/>
        <family val="2"/>
      </rPr>
      <t xml:space="preserve"> (мм)</t>
    </r>
  </si>
  <si>
    <r>
      <t xml:space="preserve">Индуктивность </t>
    </r>
    <r>
      <rPr>
        <b/>
        <sz val="10"/>
        <color indexed="10"/>
        <rFont val="Arial Cyr"/>
        <family val="2"/>
      </rPr>
      <t>L</t>
    </r>
    <r>
      <rPr>
        <sz val="10"/>
        <color indexed="10"/>
        <rFont val="Arial Cyr"/>
        <family val="2"/>
      </rPr>
      <t xml:space="preserve"> (мкГн)</t>
    </r>
  </si>
  <si>
    <r>
      <t xml:space="preserve">Емкость на входе </t>
    </r>
    <r>
      <rPr>
        <b/>
        <sz val="10"/>
        <color indexed="10"/>
        <rFont val="Arial Cyr"/>
        <family val="2"/>
      </rPr>
      <t>C1</t>
    </r>
    <r>
      <rPr>
        <sz val="10"/>
        <color indexed="10"/>
        <rFont val="Arial Cyr"/>
        <family val="2"/>
      </rPr>
      <t xml:space="preserve"> (пф)</t>
    </r>
  </si>
  <si>
    <r>
      <t xml:space="preserve">Емкость на выходе </t>
    </r>
    <r>
      <rPr>
        <b/>
        <sz val="10"/>
        <color indexed="10"/>
        <rFont val="Arial Cyr"/>
        <family val="2"/>
      </rPr>
      <t>C2</t>
    </r>
    <r>
      <rPr>
        <sz val="10"/>
        <color indexed="10"/>
        <rFont val="Arial Cyr"/>
        <family val="2"/>
      </rPr>
      <t xml:space="preserve"> (пф)</t>
    </r>
  </si>
  <si>
    <t>С4 - 33пф</t>
  </si>
  <si>
    <t>C5 - 1нф</t>
  </si>
  <si>
    <t>С6 - 22нф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</si>
</sst>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20"/>
      <name val="Arial Cyr"/>
      <family val="2"/>
    </font>
    <font>
      <b/>
      <sz val="18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2"/>
      <name val="Arial Cyr"/>
      <family val="2"/>
    </font>
    <font>
      <b/>
      <sz val="14"/>
      <color indexed="12"/>
      <name val="Arial Cyr"/>
      <family val="2"/>
    </font>
    <font>
      <u val="single"/>
      <sz val="10"/>
      <color indexed="8"/>
      <name val="Arial Cyr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0"/>
      <color indexed="9"/>
      <name val="Arial Cyr"/>
      <family val="2"/>
    </font>
    <font>
      <sz val="10"/>
      <color indexed="4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0" fontId="7" fillId="0" borderId="4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7" fillId="0" borderId="6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7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0" borderId="7" xfId="0" applyNumberFormat="1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3" fillId="0" borderId="7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1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4" fillId="0" borderId="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6" fillId="0" borderId="3" xfId="0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6" fillId="2" borderId="8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2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/>
    </xf>
    <xf numFmtId="0" fontId="1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</xdr:row>
      <xdr:rowOff>152400</xdr:rowOff>
    </xdr:from>
    <xdr:to>
      <xdr:col>8</xdr:col>
      <xdr:colOff>200025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14400"/>
          <a:ext cx="1695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5</xdr:row>
      <xdr:rowOff>0</xdr:rowOff>
    </xdr:from>
    <xdr:to>
      <xdr:col>8</xdr:col>
      <xdr:colOff>171450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38200"/>
          <a:ext cx="17049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3</xdr:row>
      <xdr:rowOff>57150</xdr:rowOff>
    </xdr:from>
    <xdr:to>
      <xdr:col>7</xdr:col>
      <xdr:colOff>619125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6750"/>
          <a:ext cx="1704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2</xdr:row>
      <xdr:rowOff>161925</xdr:rowOff>
    </xdr:from>
    <xdr:to>
      <xdr:col>7</xdr:col>
      <xdr:colOff>581025</xdr:colOff>
      <xdr:row>19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42925"/>
          <a:ext cx="1704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66675</xdr:rowOff>
    </xdr:from>
    <xdr:to>
      <xdr:col>8</xdr:col>
      <xdr:colOff>371475</xdr:colOff>
      <xdr:row>21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1525"/>
          <a:ext cx="1695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104775</xdr:colOff>
      <xdr:row>16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57150"/>
          <a:ext cx="1476375" cy="2143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238125</xdr:colOff>
      <xdr:row>10</xdr:row>
      <xdr:rowOff>142875</xdr:rowOff>
    </xdr:from>
    <xdr:to>
      <xdr:col>8</xdr:col>
      <xdr:colOff>47625</xdr:colOff>
      <xdr:row>12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962525" y="13525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Точка питания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95250</xdr:rowOff>
    </xdr:from>
    <xdr:to>
      <xdr:col>7</xdr:col>
      <xdr:colOff>495300</xdr:colOff>
      <xdr:row>9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5250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7</xdr:row>
      <xdr:rowOff>85725</xdr:rowOff>
    </xdr:from>
    <xdr:to>
      <xdr:col>8</xdr:col>
      <xdr:colOff>371475</xdr:colOff>
      <xdr:row>14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152525"/>
          <a:ext cx="1695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2" sqref="B12"/>
    </sheetView>
  </sheetViews>
  <sheetFormatPr defaultColWidth="9.00390625" defaultRowHeight="12.75"/>
  <sheetData>
    <row r="1" ht="22.5">
      <c r="A1" s="2" t="s">
        <v>0</v>
      </c>
    </row>
    <row r="3" spans="1:2" ht="12.75">
      <c r="A3" t="s">
        <v>62</v>
      </c>
      <c r="B3" t="s">
        <v>68</v>
      </c>
    </row>
    <row r="4" spans="1:2" ht="12.75">
      <c r="A4" t="s">
        <v>63</v>
      </c>
      <c r="B4" t="s">
        <v>69</v>
      </c>
    </row>
    <row r="5" spans="1:2" ht="12.75">
      <c r="A5" t="s">
        <v>64</v>
      </c>
      <c r="B5" t="s">
        <v>70</v>
      </c>
    </row>
    <row r="6" spans="1:2" ht="12.75">
      <c r="A6" t="s">
        <v>65</v>
      </c>
      <c r="B6" t="s">
        <v>71</v>
      </c>
    </row>
    <row r="7" spans="1:2" ht="12.75" customHeight="1">
      <c r="A7" t="s">
        <v>66</v>
      </c>
      <c r="B7" t="s">
        <v>72</v>
      </c>
    </row>
    <row r="8" spans="1:2" ht="12.75">
      <c r="A8" t="s">
        <v>67</v>
      </c>
      <c r="B8" t="s">
        <v>73</v>
      </c>
    </row>
    <row r="9" spans="1:6" ht="12.75" customHeight="1">
      <c r="A9" t="s">
        <v>85</v>
      </c>
      <c r="B9" t="s">
        <v>87</v>
      </c>
      <c r="F9" s="1"/>
    </row>
    <row r="10" spans="1:2" ht="12.75">
      <c r="A10" t="s">
        <v>86</v>
      </c>
      <c r="B10" t="s">
        <v>88</v>
      </c>
    </row>
    <row r="11" spans="1:2" ht="12.75">
      <c r="A11" t="s">
        <v>117</v>
      </c>
      <c r="B11" t="s">
        <v>153</v>
      </c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28" sqref="A28"/>
    </sheetView>
  </sheetViews>
  <sheetFormatPr defaultColWidth="9.00390625" defaultRowHeight="12.75"/>
  <cols>
    <col min="5" max="5" width="12.375" style="0" bestFit="1" customWidth="1"/>
  </cols>
  <sheetData>
    <row r="1" spans="1:5" ht="15">
      <c r="A1" s="88" t="s">
        <v>118</v>
      </c>
      <c r="B1" s="89"/>
      <c r="C1" s="89"/>
      <c r="D1" s="89"/>
      <c r="E1" s="89"/>
    </row>
    <row r="2" spans="1:7" ht="15.75" thickBot="1">
      <c r="A2" s="87"/>
      <c r="G2" t="s">
        <v>125</v>
      </c>
    </row>
    <row r="3" spans="1:7" ht="15">
      <c r="A3" s="93" t="s">
        <v>115</v>
      </c>
      <c r="B3" s="94"/>
      <c r="C3" s="94"/>
      <c r="D3" s="94"/>
      <c r="E3" s="95"/>
      <c r="G3" t="s">
        <v>122</v>
      </c>
    </row>
    <row r="4" spans="1:7" ht="12.75">
      <c r="A4" s="96" t="s">
        <v>3</v>
      </c>
      <c r="B4" s="3"/>
      <c r="C4" s="3"/>
      <c r="D4" s="3"/>
      <c r="E4" s="97"/>
      <c r="G4" t="s">
        <v>127</v>
      </c>
    </row>
    <row r="5" spans="1:7" ht="12.75">
      <c r="A5" s="98" t="s">
        <v>138</v>
      </c>
      <c r="B5" s="3"/>
      <c r="C5" s="3"/>
      <c r="D5" s="3"/>
      <c r="E5" s="35">
        <v>16643</v>
      </c>
      <c r="G5" t="s">
        <v>126</v>
      </c>
    </row>
    <row r="6" spans="1:7" ht="12.75">
      <c r="A6" s="98" t="s">
        <v>139</v>
      </c>
      <c r="B6" s="3"/>
      <c r="C6" s="3"/>
      <c r="D6" s="3"/>
      <c r="E6" s="35">
        <v>7770</v>
      </c>
      <c r="G6" t="s">
        <v>123</v>
      </c>
    </row>
    <row r="7" spans="1:5" ht="12.75" hidden="1">
      <c r="A7" s="98" t="s">
        <v>111</v>
      </c>
      <c r="B7" s="3"/>
      <c r="C7" s="3"/>
      <c r="D7" s="3"/>
      <c r="E7" s="97">
        <v>0</v>
      </c>
    </row>
    <row r="8" spans="1:10" ht="12.75">
      <c r="A8" s="98" t="s">
        <v>142</v>
      </c>
      <c r="B8" s="3"/>
      <c r="C8" s="3"/>
      <c r="D8" s="3"/>
      <c r="E8" s="35">
        <v>181</v>
      </c>
      <c r="J8" t="s">
        <v>140</v>
      </c>
    </row>
    <row r="9" spans="1:10" ht="12.75">
      <c r="A9" s="98"/>
      <c r="B9" s="3"/>
      <c r="C9" s="3"/>
      <c r="D9" s="3"/>
      <c r="E9" s="97"/>
      <c r="J9" t="s">
        <v>148</v>
      </c>
    </row>
    <row r="10" spans="1:10" ht="12.75">
      <c r="A10" s="96" t="s">
        <v>116</v>
      </c>
      <c r="B10" s="3"/>
      <c r="C10" s="3"/>
      <c r="D10" s="3"/>
      <c r="E10" s="97"/>
      <c r="J10" t="s">
        <v>141</v>
      </c>
    </row>
    <row r="11" spans="1:10" ht="12.75">
      <c r="A11" s="98" t="s">
        <v>145</v>
      </c>
      <c r="B11" s="3"/>
      <c r="C11" s="3"/>
      <c r="D11" s="3"/>
      <c r="E11" s="42">
        <f>ROUND((E8*E6^2-E7*E5^2)/(E5^2-E6^2),2)</f>
        <v>50.45</v>
      </c>
      <c r="J11" t="s">
        <v>119</v>
      </c>
    </row>
    <row r="12" spans="1:10" ht="13.5" thickBot="1">
      <c r="A12" s="99" t="s">
        <v>18</v>
      </c>
      <c r="B12" s="100"/>
      <c r="C12" s="100"/>
      <c r="D12" s="100"/>
      <c r="E12" s="59">
        <f>ROUND(10^12/((E7+E11)*(2*3.14159*E5)^2),2)</f>
        <v>1.81</v>
      </c>
      <c r="J12" t="s">
        <v>170</v>
      </c>
    </row>
    <row r="13" ht="13.5" thickBot="1">
      <c r="J13" t="s">
        <v>171</v>
      </c>
    </row>
    <row r="14" spans="1:10" ht="15.75">
      <c r="A14" s="93" t="s">
        <v>112</v>
      </c>
      <c r="B14" s="94"/>
      <c r="C14" s="94"/>
      <c r="D14" s="94"/>
      <c r="E14" s="95"/>
      <c r="J14" t="s">
        <v>172</v>
      </c>
    </row>
    <row r="15" spans="1:10" ht="12.75">
      <c r="A15" s="96" t="s">
        <v>3</v>
      </c>
      <c r="B15" s="3"/>
      <c r="C15" s="3"/>
      <c r="D15" s="3"/>
      <c r="E15" s="97"/>
      <c r="J15" t="s">
        <v>149</v>
      </c>
    </row>
    <row r="16" spans="1:10" ht="12.75">
      <c r="A16" s="98" t="s">
        <v>113</v>
      </c>
      <c r="B16" s="3"/>
      <c r="C16" s="3"/>
      <c r="D16" s="3"/>
      <c r="E16" s="35">
        <v>16604</v>
      </c>
      <c r="J16" t="s">
        <v>120</v>
      </c>
    </row>
    <row r="17" spans="1:10" ht="12.75">
      <c r="A17" s="98"/>
      <c r="B17" s="3"/>
      <c r="C17" s="3"/>
      <c r="D17" s="3"/>
      <c r="E17" s="97"/>
      <c r="J17" t="s">
        <v>121</v>
      </c>
    </row>
    <row r="18" spans="1:10" ht="12.75">
      <c r="A18" s="96" t="s">
        <v>114</v>
      </c>
      <c r="B18" s="3"/>
      <c r="C18" s="3"/>
      <c r="D18" s="3"/>
      <c r="E18" s="97"/>
      <c r="J18" t="s">
        <v>136</v>
      </c>
    </row>
    <row r="19" spans="1:10" ht="12.75" thickBot="1">
      <c r="A19" s="99" t="s">
        <v>18</v>
      </c>
      <c r="B19" s="100"/>
      <c r="C19" s="100"/>
      <c r="D19" s="100"/>
      <c r="E19" s="59">
        <f>ROUND(10^12/(((2*3.14159*E16)^2)*E11),2)</f>
        <v>1.82</v>
      </c>
      <c r="J19" t="s">
        <v>137</v>
      </c>
    </row>
    <row r="20" ht="12.75">
      <c r="G20" t="s">
        <v>128</v>
      </c>
    </row>
    <row r="21" spans="1:7" ht="15">
      <c r="A21" s="88" t="s">
        <v>143</v>
      </c>
      <c r="G21" t="s">
        <v>129</v>
      </c>
    </row>
    <row r="22" ht="12.75" thickBot="1">
      <c r="G22" t="s">
        <v>130</v>
      </c>
    </row>
    <row r="23" spans="1:7" ht="12.75">
      <c r="A23" s="101" t="s">
        <v>3</v>
      </c>
      <c r="B23" s="94"/>
      <c r="C23" s="94"/>
      <c r="D23" s="94"/>
      <c r="E23" s="95"/>
      <c r="G23" t="s">
        <v>131</v>
      </c>
    </row>
    <row r="24" spans="1:7" ht="12.75">
      <c r="A24" s="98" t="s">
        <v>146</v>
      </c>
      <c r="B24" s="3"/>
      <c r="C24" s="3"/>
      <c r="D24" s="3"/>
      <c r="E24" s="35">
        <v>3993</v>
      </c>
      <c r="G24" t="s">
        <v>132</v>
      </c>
    </row>
    <row r="25" spans="1:7" ht="12.75">
      <c r="A25" s="98" t="s">
        <v>147</v>
      </c>
      <c r="B25" s="3"/>
      <c r="C25" s="3"/>
      <c r="D25" s="3"/>
      <c r="E25" s="35">
        <v>1.87</v>
      </c>
      <c r="G25" t="s">
        <v>124</v>
      </c>
    </row>
    <row r="26" spans="1:7" ht="12.75">
      <c r="A26" s="98"/>
      <c r="B26" s="3"/>
      <c r="C26" s="3"/>
      <c r="D26" s="3"/>
      <c r="E26" s="97"/>
      <c r="G26" t="s">
        <v>133</v>
      </c>
    </row>
    <row r="27" spans="1:7" ht="12.75">
      <c r="A27" s="96" t="s">
        <v>116</v>
      </c>
      <c r="B27" s="3"/>
      <c r="C27" s="3"/>
      <c r="D27" s="3"/>
      <c r="E27" s="97"/>
      <c r="F27" s="89"/>
      <c r="G27" t="s">
        <v>134</v>
      </c>
    </row>
    <row r="28" spans="1:7" ht="12.75" thickBot="1">
      <c r="A28" s="99" t="s">
        <v>144</v>
      </c>
      <c r="B28" s="100"/>
      <c r="C28" s="100"/>
      <c r="D28" s="100"/>
      <c r="E28" s="59">
        <f>ROUND((10^12/(E25*(2*3.14159*E24)^2)),2)-E11</f>
        <v>799.12</v>
      </c>
      <c r="G28" t="s">
        <v>135</v>
      </c>
    </row>
    <row r="29" ht="12.75">
      <c r="G29" t="s">
        <v>150</v>
      </c>
    </row>
    <row r="30" ht="12.75">
      <c r="G30" t="s">
        <v>151</v>
      </c>
    </row>
    <row r="31" ht="12.75">
      <c r="G31" s="52" t="s">
        <v>152</v>
      </c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5" sqref="A15"/>
    </sheetView>
  </sheetViews>
  <sheetFormatPr defaultColWidth="9.00390625" defaultRowHeight="12.75"/>
  <sheetData>
    <row r="1" spans="1:5" ht="15">
      <c r="A1" s="64" t="s">
        <v>1</v>
      </c>
      <c r="B1" s="64"/>
      <c r="C1" s="64"/>
      <c r="D1" s="13"/>
      <c r="E1" s="13"/>
    </row>
    <row r="2" spans="1:6" ht="15">
      <c r="A2" s="64" t="s">
        <v>2</v>
      </c>
      <c r="B2" s="64"/>
      <c r="C2" s="64"/>
      <c r="D2" s="13"/>
      <c r="E2" s="13"/>
      <c r="F2" t="s">
        <v>156</v>
      </c>
    </row>
    <row r="3" spans="1:6" ht="15">
      <c r="A3" s="64" t="s">
        <v>37</v>
      </c>
      <c r="B3" s="64"/>
      <c r="C3" s="64"/>
      <c r="D3" s="13"/>
      <c r="E3" s="13"/>
      <c r="F3" t="s">
        <v>157</v>
      </c>
    </row>
    <row r="4" spans="1:6" ht="15">
      <c r="A4" s="64" t="s">
        <v>108</v>
      </c>
      <c r="B4" s="64"/>
      <c r="C4" s="64"/>
      <c r="D4" s="13"/>
      <c r="E4" s="13"/>
      <c r="F4" t="s">
        <v>158</v>
      </c>
    </row>
    <row r="5" spans="1:5" ht="12.75">
      <c r="A5" s="50"/>
      <c r="B5" s="65"/>
      <c r="C5" s="49"/>
      <c r="D5" s="28"/>
      <c r="E5" s="13"/>
    </row>
    <row r="6" spans="1:5" ht="13.5" thickBot="1">
      <c r="A6" s="66" t="s">
        <v>3</v>
      </c>
      <c r="B6" s="66"/>
      <c r="C6" s="66"/>
      <c r="D6" s="28"/>
      <c r="E6" s="28"/>
    </row>
    <row r="7" spans="1:5" ht="12.75">
      <c r="A7" s="67" t="s">
        <v>4</v>
      </c>
      <c r="B7" s="68"/>
      <c r="C7" s="68"/>
      <c r="D7" s="62">
        <v>1</v>
      </c>
      <c r="E7" s="13"/>
    </row>
    <row r="8" spans="1:5" ht="12.75">
      <c r="A8" s="69" t="s">
        <v>161</v>
      </c>
      <c r="B8" s="24"/>
      <c r="C8" s="24"/>
      <c r="D8" s="14">
        <v>5</v>
      </c>
      <c r="E8" s="13"/>
    </row>
    <row r="9" spans="1:5" ht="12.75">
      <c r="A9" s="69" t="s">
        <v>162</v>
      </c>
      <c r="B9" s="24"/>
      <c r="C9" s="24"/>
      <c r="D9" s="14">
        <v>57</v>
      </c>
      <c r="E9" s="13"/>
    </row>
    <row r="10" spans="1:5" ht="13.5" thickBot="1">
      <c r="A10" s="70" t="s">
        <v>163</v>
      </c>
      <c r="B10" s="71"/>
      <c r="C10" s="71"/>
      <c r="D10" s="15">
        <v>22</v>
      </c>
      <c r="E10" s="13"/>
    </row>
    <row r="11" spans="1:5" ht="12.75" hidden="1">
      <c r="A11" s="13">
        <f>0.1*D8</f>
        <v>0.5</v>
      </c>
      <c r="B11" s="13">
        <f>0.1*D9</f>
        <v>5.7</v>
      </c>
      <c r="C11" s="13">
        <f>0.1*D10</f>
        <v>2.2</v>
      </c>
      <c r="D11" s="13"/>
      <c r="E11" s="13"/>
    </row>
    <row r="12" spans="1:5" ht="12.75" hidden="1">
      <c r="A12" s="13">
        <f>2.3/(2.3+((D9+D8)/D10))</f>
        <v>0.44937833037300173</v>
      </c>
      <c r="B12" s="13">
        <v>3.14159</v>
      </c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3.5" thickBot="1">
      <c r="A14" s="66" t="s">
        <v>7</v>
      </c>
      <c r="B14" s="31"/>
      <c r="C14" s="28"/>
      <c r="D14" s="28"/>
      <c r="E14" s="13"/>
    </row>
    <row r="15" spans="1:5" ht="12.75">
      <c r="A15" s="4" t="s">
        <v>8</v>
      </c>
      <c r="B15" s="5"/>
      <c r="C15" s="6"/>
      <c r="D15" s="7">
        <f>ROUND(SQRT(1000*D7*C11/(B12^2*(B11+0.1*D8)^2*A12)),1)</f>
        <v>3.6</v>
      </c>
      <c r="E15" s="13"/>
    </row>
    <row r="16" spans="1:5" ht="12.75" thickBot="1">
      <c r="A16" s="8" t="s">
        <v>9</v>
      </c>
      <c r="B16" s="9"/>
      <c r="C16" s="10"/>
      <c r="D16" s="11">
        <f>ROUND(D10/D15,1)</f>
        <v>6.1</v>
      </c>
      <c r="E16" s="13"/>
    </row>
    <row r="17" spans="1:5" ht="12.75">
      <c r="A17" s="12" t="s">
        <v>51</v>
      </c>
      <c r="B17" s="12"/>
      <c r="C17" s="13"/>
      <c r="D17" s="13"/>
      <c r="E17" s="13"/>
    </row>
  </sheetData>
  <sheetProtection password="C408" sheet="1" objects="1" scenarios="1"/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1" sqref="A11"/>
    </sheetView>
  </sheetViews>
  <sheetFormatPr defaultColWidth="9.00390625" defaultRowHeight="12.75"/>
  <cols>
    <col min="4" max="4" width="10.25390625" style="0" bestFit="1" customWidth="1"/>
  </cols>
  <sheetData>
    <row r="1" spans="1:10" ht="15">
      <c r="A1" s="72" t="s">
        <v>50</v>
      </c>
      <c r="B1" s="72"/>
      <c r="C1" s="72"/>
      <c r="D1" s="72"/>
      <c r="E1" s="13"/>
      <c r="F1" s="13"/>
      <c r="G1" s="13"/>
      <c r="H1" s="13"/>
      <c r="I1" s="13"/>
      <c r="J1" s="13"/>
    </row>
    <row r="2" spans="1:10" ht="12.75" thickBot="1">
      <c r="A2" s="13"/>
      <c r="B2" s="13"/>
      <c r="C2" s="13"/>
      <c r="D2" s="13"/>
      <c r="E2" s="13"/>
      <c r="F2" s="13" t="s">
        <v>105</v>
      </c>
      <c r="G2" s="13"/>
      <c r="H2" s="13"/>
      <c r="I2" s="13"/>
      <c r="J2" s="13"/>
    </row>
    <row r="3" spans="1:10" ht="12.75">
      <c r="A3" s="73" t="s">
        <v>3</v>
      </c>
      <c r="B3" s="47"/>
      <c r="C3" s="47"/>
      <c r="D3" s="34"/>
      <c r="E3" s="13"/>
      <c r="F3" s="13" t="s">
        <v>104</v>
      </c>
      <c r="G3" s="13"/>
      <c r="H3" s="13"/>
      <c r="I3" s="13"/>
      <c r="J3" s="13"/>
    </row>
    <row r="4" spans="1:10" ht="12.75">
      <c r="A4" s="69" t="s">
        <v>38</v>
      </c>
      <c r="B4" s="24"/>
      <c r="C4" s="24"/>
      <c r="D4" s="14">
        <v>1</v>
      </c>
      <c r="E4" s="13"/>
      <c r="F4" s="13" t="s">
        <v>106</v>
      </c>
      <c r="G4" s="13"/>
      <c r="H4" s="13"/>
      <c r="I4" s="13"/>
      <c r="J4" s="13"/>
    </row>
    <row r="5" spans="1:10" ht="12.75" thickBot="1">
      <c r="A5" s="70" t="s">
        <v>164</v>
      </c>
      <c r="B5" s="71"/>
      <c r="C5" s="71"/>
      <c r="D5" s="15">
        <v>5</v>
      </c>
      <c r="E5" s="13"/>
      <c r="F5" s="13" t="s">
        <v>107</v>
      </c>
      <c r="G5" s="13"/>
      <c r="H5" s="13"/>
      <c r="I5" s="13"/>
      <c r="J5" s="13"/>
    </row>
    <row r="6" spans="1:10" ht="12.75">
      <c r="A6" s="74"/>
      <c r="B6" s="51"/>
      <c r="C6" s="51"/>
      <c r="D6" s="13"/>
      <c r="E6" s="13"/>
      <c r="F6" s="13"/>
      <c r="G6" s="13"/>
      <c r="H6" s="13"/>
      <c r="I6" s="13"/>
      <c r="J6" s="13"/>
    </row>
    <row r="7" spans="1:10" ht="13.5" thickBot="1">
      <c r="A7" s="50" t="s">
        <v>40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6" t="s">
        <v>165</v>
      </c>
      <c r="B8" s="17"/>
      <c r="C8" s="17"/>
      <c r="D8" s="7">
        <f>ROUND(3.2527*D9*D5,)-D5</f>
        <v>57</v>
      </c>
      <c r="E8" s="13"/>
      <c r="F8" s="13"/>
      <c r="G8" s="13"/>
      <c r="H8" s="13"/>
      <c r="I8" s="13"/>
      <c r="J8" s="13"/>
    </row>
    <row r="9" spans="1:10" ht="12.75">
      <c r="A9" s="18" t="s">
        <v>21</v>
      </c>
      <c r="B9" s="19"/>
      <c r="C9" s="19"/>
      <c r="D9" s="20">
        <f>ROUND((1000*D4/(36.918*(D5/10)))^(1/3),1)</f>
        <v>3.8</v>
      </c>
      <c r="E9" s="13"/>
      <c r="F9" s="13"/>
      <c r="G9" s="13"/>
      <c r="H9" s="13"/>
      <c r="I9" s="13"/>
      <c r="J9" s="13"/>
    </row>
    <row r="10" spans="1:10" ht="12.75">
      <c r="A10" s="18" t="s">
        <v>166</v>
      </c>
      <c r="B10" s="19"/>
      <c r="C10" s="19"/>
      <c r="D10" s="21">
        <f>ROUND((D9*D5*1.41)-D5,1)</f>
        <v>21.8</v>
      </c>
      <c r="E10" s="13"/>
      <c r="F10" s="13"/>
      <c r="G10" s="13"/>
      <c r="H10" s="13"/>
      <c r="I10" s="13"/>
      <c r="J10" s="13"/>
    </row>
    <row r="11" spans="1:10" ht="12.75">
      <c r="A11" s="18" t="s">
        <v>9</v>
      </c>
      <c r="B11" s="19"/>
      <c r="C11" s="19"/>
      <c r="D11" s="21">
        <f>ROUND(1.41*D5,1)</f>
        <v>7.1</v>
      </c>
      <c r="E11" s="13"/>
      <c r="F11" s="13"/>
      <c r="G11" s="13"/>
      <c r="H11" s="13"/>
      <c r="I11" s="13"/>
      <c r="J11" s="13"/>
    </row>
    <row r="12" spans="1:10" ht="13.5" thickBot="1">
      <c r="A12" s="22" t="s">
        <v>23</v>
      </c>
      <c r="B12" s="23"/>
      <c r="C12" s="23"/>
      <c r="D12" s="11">
        <f>ROUND(1.41*D5-D5,1)</f>
        <v>2.1</v>
      </c>
      <c r="E12" s="13"/>
      <c r="F12" s="13"/>
      <c r="G12" s="13"/>
      <c r="H12" s="13"/>
      <c r="I12" s="13"/>
      <c r="J12" s="13"/>
    </row>
    <row r="13" spans="1:10" ht="12.75">
      <c r="A13" s="24" t="s">
        <v>55</v>
      </c>
      <c r="B13" s="24"/>
      <c r="C13" s="13"/>
      <c r="D13" s="13"/>
      <c r="E13" s="13"/>
      <c r="F13" s="13"/>
      <c r="G13" s="13"/>
      <c r="H13" s="13"/>
      <c r="I13" s="13"/>
      <c r="J13" s="13"/>
    </row>
    <row r="15" ht="12.75" hidden="1"/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7" sqref="A17"/>
    </sheetView>
  </sheetViews>
  <sheetFormatPr defaultColWidth="9.00390625" defaultRowHeight="12.75"/>
  <sheetData>
    <row r="1" spans="1:4" ht="17.25">
      <c r="A1" s="75" t="s">
        <v>36</v>
      </c>
      <c r="B1" s="12"/>
      <c r="C1" s="12"/>
      <c r="D1" s="12"/>
    </row>
    <row r="2" spans="1:4" ht="15">
      <c r="A2" s="75" t="s">
        <v>10</v>
      </c>
      <c r="B2" s="12"/>
      <c r="C2" s="12"/>
      <c r="D2" s="12"/>
    </row>
    <row r="3" spans="1:4" ht="15.75" thickBot="1">
      <c r="A3" s="72"/>
      <c r="B3" s="13"/>
      <c r="C3" s="13"/>
      <c r="D3" s="13"/>
    </row>
    <row r="4" spans="1:4" ht="12.75">
      <c r="A4" s="76" t="s">
        <v>3</v>
      </c>
      <c r="B4" s="77"/>
      <c r="C4" s="47"/>
      <c r="D4" s="43"/>
    </row>
    <row r="5" spans="1:4" ht="12.75">
      <c r="A5" s="78" t="s">
        <v>11</v>
      </c>
      <c r="B5" s="30"/>
      <c r="C5" s="19"/>
      <c r="D5" s="35">
        <v>14.2</v>
      </c>
    </row>
    <row r="6" spans="1:4" ht="12.75">
      <c r="A6" s="78" t="s">
        <v>12</v>
      </c>
      <c r="B6" s="79"/>
      <c r="C6" s="19"/>
      <c r="D6" s="35">
        <v>2000</v>
      </c>
    </row>
    <row r="7" spans="1:4" ht="12.75">
      <c r="A7" s="78" t="s">
        <v>13</v>
      </c>
      <c r="B7" s="30"/>
      <c r="C7" s="30"/>
      <c r="D7" s="35">
        <v>1</v>
      </c>
    </row>
    <row r="8" spans="1:4" ht="12.75">
      <c r="A8" s="78" t="s">
        <v>14</v>
      </c>
      <c r="B8" s="30"/>
      <c r="C8" s="30"/>
      <c r="D8" s="35">
        <v>12</v>
      </c>
    </row>
    <row r="9" spans="1:4" ht="12.75">
      <c r="A9" s="78" t="s">
        <v>15</v>
      </c>
      <c r="B9" s="30"/>
      <c r="C9" s="30"/>
      <c r="D9" s="35">
        <v>50</v>
      </c>
    </row>
    <row r="10" spans="1:4" ht="13.5" thickBot="1">
      <c r="A10" s="80" t="s">
        <v>16</v>
      </c>
      <c r="B10" s="81"/>
      <c r="C10" s="81"/>
      <c r="D10" s="36">
        <v>4</v>
      </c>
    </row>
    <row r="11" spans="1:4" ht="12" customHeight="1">
      <c r="A11" s="19"/>
      <c r="B11" s="30"/>
      <c r="C11" s="30"/>
      <c r="D11" s="28"/>
    </row>
    <row r="12" spans="1:4" ht="12" customHeight="1" thickBot="1">
      <c r="A12" s="25" t="s">
        <v>17</v>
      </c>
      <c r="B12" s="26"/>
      <c r="C12" s="27"/>
      <c r="D12" s="28"/>
    </row>
    <row r="13" spans="1:4" ht="12.75" customHeight="1">
      <c r="A13" s="16" t="s">
        <v>167</v>
      </c>
      <c r="B13" s="17"/>
      <c r="C13" s="17"/>
      <c r="D13" s="7">
        <f>ROUND(D6/(4*3.14159*D7*D5*D8),1)</f>
        <v>0.9</v>
      </c>
    </row>
    <row r="14" spans="1:4" ht="12.75" customHeight="1" hidden="1">
      <c r="A14" s="18" t="s">
        <v>19</v>
      </c>
      <c r="B14" s="19"/>
      <c r="C14" s="19"/>
      <c r="D14" s="21">
        <f>250000/(3.14159^2*D5^2*D13)</f>
        <v>139.57955157602083</v>
      </c>
    </row>
    <row r="15" spans="1:4" ht="12.75">
      <c r="A15" s="18" t="s">
        <v>168</v>
      </c>
      <c r="B15" s="19"/>
      <c r="C15" s="19"/>
      <c r="D15" s="21">
        <f>ROUND(D14*((((0.5*D6/D7)/D9)^0.5)+1)/((0.5*D6/D7)/D9)^0.5,)</f>
        <v>171</v>
      </c>
    </row>
    <row r="16" spans="1:4" ht="12.75" thickBot="1">
      <c r="A16" s="22" t="s">
        <v>169</v>
      </c>
      <c r="B16" s="23"/>
      <c r="C16" s="23"/>
      <c r="D16" s="11">
        <f>ROUND(D15*((0.5*D6/D7)/D9)^0.5,)</f>
        <v>765</v>
      </c>
    </row>
    <row r="17" spans="1:4" ht="12.75" customHeight="1">
      <c r="A17" s="29"/>
      <c r="B17" s="30"/>
      <c r="C17" s="30"/>
      <c r="D17" s="31"/>
    </row>
    <row r="18" spans="1:4" ht="12.75" thickBot="1">
      <c r="A18" s="32" t="s">
        <v>20</v>
      </c>
      <c r="B18" s="27"/>
      <c r="C18" s="27"/>
      <c r="D18" s="33"/>
    </row>
    <row r="19" spans="1:4" ht="12.75">
      <c r="A19" s="16" t="s">
        <v>6</v>
      </c>
      <c r="B19" s="17"/>
      <c r="C19" s="17"/>
      <c r="D19" s="7">
        <f>ROUND(2.3*1.41*D20*D10-D10,)</f>
        <v>47</v>
      </c>
    </row>
    <row r="20" spans="1:4" ht="12.75">
      <c r="A20" s="18" t="s">
        <v>21</v>
      </c>
      <c r="B20" s="19"/>
      <c r="C20" s="19"/>
      <c r="D20" s="20">
        <f>ROUND((1000*D13/(36.918*(D10/10)))^(1/3),1)</f>
        <v>3.9</v>
      </c>
    </row>
    <row r="21" spans="1:4" ht="12.75">
      <c r="A21" s="18" t="s">
        <v>22</v>
      </c>
      <c r="B21" s="19"/>
      <c r="C21" s="19"/>
      <c r="D21" s="21">
        <f>ROUND(D20*1.41*D10-D10,1)</f>
        <v>18</v>
      </c>
    </row>
    <row r="22" spans="1:4" ht="12.75">
      <c r="A22" s="18" t="s">
        <v>9</v>
      </c>
      <c r="B22" s="19"/>
      <c r="C22" s="19"/>
      <c r="D22" s="21">
        <f>ROUND(1.41*D10,1)</f>
        <v>5.6</v>
      </c>
    </row>
    <row r="23" spans="1:4" ht="12.75" thickBot="1">
      <c r="A23" s="22" t="s">
        <v>23</v>
      </c>
      <c r="B23" s="23"/>
      <c r="C23" s="23"/>
      <c r="D23" s="11">
        <f>ROUND(1.41*D10-D10,1)</f>
        <v>1.6</v>
      </c>
    </row>
    <row r="24" spans="1:4" ht="12.75">
      <c r="A24" s="24" t="s">
        <v>55</v>
      </c>
      <c r="B24" s="24"/>
      <c r="C24" s="13"/>
      <c r="D24" s="13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1" sqref="I21"/>
    </sheetView>
  </sheetViews>
  <sheetFormatPr defaultColWidth="9.00390625" defaultRowHeight="12.75"/>
  <sheetData>
    <row r="1" spans="1:4" ht="15">
      <c r="A1" s="64" t="s">
        <v>34</v>
      </c>
      <c r="B1" s="75"/>
      <c r="C1" s="75"/>
      <c r="D1" s="13"/>
    </row>
    <row r="2" spans="1:4" ht="15">
      <c r="A2" s="64" t="s">
        <v>35</v>
      </c>
      <c r="B2" s="75"/>
      <c r="C2" s="75"/>
      <c r="D2" s="13"/>
    </row>
    <row r="3" spans="1:4" ht="13.5" thickBot="1">
      <c r="A3" s="49"/>
      <c r="B3" s="13"/>
      <c r="C3" s="13"/>
      <c r="D3" s="13"/>
    </row>
    <row r="4" spans="1:4" ht="12.75">
      <c r="A4" s="73" t="s">
        <v>33</v>
      </c>
      <c r="B4" s="82"/>
      <c r="C4" s="83"/>
      <c r="D4" s="43"/>
    </row>
    <row r="5" spans="1:4" ht="12.75">
      <c r="A5" s="69" t="s">
        <v>11</v>
      </c>
      <c r="B5" s="24"/>
      <c r="C5" s="24"/>
      <c r="D5" s="14">
        <v>14.2</v>
      </c>
    </row>
    <row r="6" spans="1:4" ht="12.75" customHeight="1" thickBot="1">
      <c r="A6" s="70" t="s">
        <v>154</v>
      </c>
      <c r="B6" s="71"/>
      <c r="C6" s="71"/>
      <c r="D6" s="15">
        <v>3500</v>
      </c>
    </row>
    <row r="7" spans="1:4" ht="0" customHeight="1" hidden="1">
      <c r="A7" s="24">
        <v>3.14159</v>
      </c>
      <c r="B7" s="24">
        <f>71000/D5</f>
        <v>5000</v>
      </c>
      <c r="C7" s="24">
        <f>B7-D6</f>
        <v>1500</v>
      </c>
      <c r="D7" s="24"/>
    </row>
    <row r="8" spans="1:4" ht="14.25" customHeight="1" hidden="1">
      <c r="A8" s="24">
        <f>C7/A7</f>
        <v>477.4652325733148</v>
      </c>
      <c r="B8" s="24"/>
      <c r="C8" s="24"/>
      <c r="D8" s="24"/>
    </row>
    <row r="9" spans="1:4" ht="12.75" customHeight="1">
      <c r="A9" s="13"/>
      <c r="B9" s="13"/>
      <c r="C9" s="13"/>
      <c r="D9" s="13"/>
    </row>
    <row r="10" spans="1:4" ht="12.75" customHeight="1" thickBot="1">
      <c r="A10" s="50" t="s">
        <v>39</v>
      </c>
      <c r="B10" s="13"/>
      <c r="C10" s="13"/>
      <c r="D10" s="13"/>
    </row>
    <row r="11" spans="1:4" ht="12.75">
      <c r="A11" s="4" t="s">
        <v>27</v>
      </c>
      <c r="B11" s="37"/>
      <c r="C11" s="37"/>
      <c r="D11" s="38"/>
    </row>
    <row r="12" spans="1:4" ht="12.75" hidden="1">
      <c r="A12" s="39" t="s">
        <v>28</v>
      </c>
      <c r="B12" s="40"/>
      <c r="C12" s="40"/>
      <c r="D12" s="21">
        <f>ROUND(A8,1)</f>
        <v>477.5</v>
      </c>
    </row>
    <row r="13" spans="1:4" ht="12.75" hidden="1">
      <c r="A13" s="41"/>
      <c r="B13" s="28"/>
      <c r="C13" s="28"/>
      <c r="D13" s="42"/>
    </row>
    <row r="14" spans="1:4" ht="12.75" hidden="1">
      <c r="A14" s="41"/>
      <c r="B14" s="28"/>
      <c r="C14" s="28"/>
      <c r="D14" s="42"/>
    </row>
    <row r="15" spans="1:4" ht="12.75" hidden="1">
      <c r="A15" s="41"/>
      <c r="B15" s="28"/>
      <c r="C15" s="28"/>
      <c r="D15" s="42"/>
    </row>
    <row r="16" spans="1:4" ht="12.75" hidden="1">
      <c r="A16" s="41"/>
      <c r="B16" s="28"/>
      <c r="C16" s="28"/>
      <c r="D16" s="42"/>
    </row>
    <row r="17" spans="1:4" ht="12.75" hidden="1">
      <c r="A17" s="41"/>
      <c r="B17" s="28"/>
      <c r="C17" s="28"/>
      <c r="D17" s="42"/>
    </row>
    <row r="18" spans="1:4" ht="12.75" hidden="1">
      <c r="A18" s="41"/>
      <c r="B18" s="28"/>
      <c r="C18" s="28"/>
      <c r="D18" s="42"/>
    </row>
    <row r="19" spans="1:4" ht="13.5" thickBot="1">
      <c r="A19" s="8" t="s">
        <v>155</v>
      </c>
      <c r="B19" s="9"/>
      <c r="C19" s="9"/>
      <c r="D19" s="11">
        <f>ROUND(A8,1)</f>
        <v>477.5</v>
      </c>
    </row>
    <row r="20" spans="1:4" ht="12.75">
      <c r="A20" s="12" t="s">
        <v>55</v>
      </c>
      <c r="B20" s="12"/>
      <c r="C20" s="13"/>
      <c r="D20" s="13"/>
    </row>
    <row r="21" spans="5:7" ht="12.75" customHeight="1">
      <c r="E21" s="3"/>
      <c r="F21" s="3"/>
      <c r="G21" s="3"/>
    </row>
    <row r="22" spans="5:7" ht="12.75" hidden="1">
      <c r="E22" s="3"/>
      <c r="F22" s="3"/>
      <c r="G22" s="3"/>
    </row>
    <row r="23" spans="5:7" ht="12.75" hidden="1">
      <c r="E23" s="3"/>
      <c r="F23" s="3"/>
      <c r="G23" s="3"/>
    </row>
    <row r="24" spans="5:7" ht="12.75" hidden="1">
      <c r="E24" s="3"/>
      <c r="F24" s="3"/>
      <c r="G24" s="3"/>
    </row>
    <row r="25" spans="5:7" ht="12.75" hidden="1">
      <c r="E25" s="3"/>
      <c r="F25" s="3"/>
      <c r="G25" s="3"/>
    </row>
    <row r="26" spans="5:9" ht="12.75">
      <c r="E26" s="3"/>
      <c r="F26" s="3"/>
      <c r="G26" s="3"/>
      <c r="I26" s="52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6" sqref="D26"/>
    </sheetView>
  </sheetViews>
  <sheetFormatPr defaultColWidth="9.00390625" defaultRowHeight="12.75"/>
  <sheetData>
    <row r="1" spans="1:6" ht="15">
      <c r="A1" s="64" t="s">
        <v>29</v>
      </c>
      <c r="B1" s="75"/>
      <c r="C1" s="75"/>
      <c r="D1" s="51"/>
      <c r="E1" s="13"/>
      <c r="F1" s="13"/>
    </row>
    <row r="2" spans="1:6" ht="15">
      <c r="A2" s="64" t="s">
        <v>30</v>
      </c>
      <c r="B2" s="64"/>
      <c r="C2" s="64"/>
      <c r="D2" s="49"/>
      <c r="E2" s="13"/>
      <c r="F2" s="13"/>
    </row>
    <row r="3" spans="1:6" ht="12.75">
      <c r="A3" s="50"/>
      <c r="B3" s="50"/>
      <c r="C3" s="50"/>
      <c r="D3" s="50"/>
      <c r="E3" s="13"/>
      <c r="F3" s="13"/>
    </row>
    <row r="4" spans="1:6" ht="12.75" thickBot="1">
      <c r="A4" s="66" t="s">
        <v>3</v>
      </c>
      <c r="B4" s="31"/>
      <c r="C4" s="31"/>
      <c r="D4" s="28"/>
      <c r="E4" s="13"/>
      <c r="F4" s="13"/>
    </row>
    <row r="5" spans="1:6" ht="12.75">
      <c r="A5" s="67" t="s">
        <v>11</v>
      </c>
      <c r="B5" s="37"/>
      <c r="C5" s="37"/>
      <c r="D5" s="63">
        <v>145</v>
      </c>
      <c r="E5" s="13"/>
      <c r="F5" s="13"/>
    </row>
    <row r="6" spans="1:6" ht="12.75">
      <c r="A6" s="69" t="s">
        <v>24</v>
      </c>
      <c r="B6" s="24"/>
      <c r="C6" s="24"/>
      <c r="D6" s="14"/>
      <c r="E6" s="13"/>
      <c r="F6" s="13"/>
    </row>
    <row r="7" spans="1:6" ht="12.75" customHeight="1">
      <c r="A7" s="69" t="s">
        <v>159</v>
      </c>
      <c r="B7" s="24"/>
      <c r="C7" s="92"/>
      <c r="D7" s="44">
        <v>200</v>
      </c>
      <c r="E7" s="13"/>
      <c r="F7" s="13"/>
    </row>
    <row r="8" spans="1:6" ht="12.75" customHeight="1">
      <c r="A8" s="69" t="s">
        <v>25</v>
      </c>
      <c r="B8" s="24"/>
      <c r="C8" s="24"/>
      <c r="D8" s="14"/>
      <c r="E8" s="13"/>
      <c r="F8" s="13"/>
    </row>
    <row r="9" spans="1:6" ht="12.75">
      <c r="A9" s="69" t="s">
        <v>160</v>
      </c>
      <c r="B9" s="24"/>
      <c r="C9" s="24"/>
      <c r="D9" s="44">
        <v>55</v>
      </c>
      <c r="E9" s="13"/>
      <c r="F9" s="13"/>
    </row>
    <row r="10" spans="1:6" ht="13.5" thickBot="1">
      <c r="A10" s="70" t="s">
        <v>5</v>
      </c>
      <c r="B10" s="71"/>
      <c r="C10" s="71"/>
      <c r="D10" s="45">
        <v>2</v>
      </c>
      <c r="E10" s="13"/>
      <c r="F10" s="13"/>
    </row>
    <row r="11" spans="1:6" ht="12" customHeight="1" hidden="1">
      <c r="A11" s="90">
        <f>3.14159</f>
        <v>3.14159</v>
      </c>
      <c r="B11" s="90">
        <f>D9/304.8</f>
        <v>0.18044619422572178</v>
      </c>
      <c r="C11" s="90">
        <f>D10/25.4</f>
        <v>0.07874015748031496</v>
      </c>
      <c r="D11" s="13"/>
      <c r="E11" s="13"/>
      <c r="F11" s="13"/>
    </row>
    <row r="12" spans="1:6" ht="12.75" customHeight="1" hidden="1">
      <c r="A12" s="90">
        <f>(234/D5)-B11</f>
        <v>1.433346909222554</v>
      </c>
      <c r="B12" s="90">
        <f>LN(24*A12/C11)-1</f>
        <v>5.079668029349663</v>
      </c>
      <c r="C12" s="90">
        <f>D7/304.8</f>
        <v>0.6561679790026247</v>
      </c>
      <c r="D12" s="13"/>
      <c r="E12" s="13"/>
      <c r="F12" s="13"/>
    </row>
    <row r="13" spans="1:6" ht="12.75" customHeight="1" hidden="1">
      <c r="A13" s="90">
        <f>(1/A12)*B12*(((1-D5*B11/234)^2)-1)</f>
        <v>-0.7482185016568348</v>
      </c>
      <c r="B13" s="90">
        <f>(1/C12)*C13*(((C12*D5/234)^2)-1)</f>
        <v>-5.467662237855202</v>
      </c>
      <c r="C13" s="90">
        <f>LN(24*C12/C11)-1</f>
        <v>4.298317366548036</v>
      </c>
      <c r="D13" s="13"/>
      <c r="E13" s="13"/>
      <c r="F13" s="13"/>
    </row>
    <row r="14" spans="1:6" ht="12.75">
      <c r="A14" s="13"/>
      <c r="B14" s="13"/>
      <c r="C14" s="13"/>
      <c r="D14" s="13"/>
      <c r="E14" s="13"/>
      <c r="F14" s="13"/>
    </row>
    <row r="15" spans="1:6" ht="13.5" thickBot="1">
      <c r="A15" s="50" t="s">
        <v>39</v>
      </c>
      <c r="B15" s="13"/>
      <c r="C15" s="13"/>
      <c r="D15" s="13"/>
      <c r="E15" s="13"/>
      <c r="F15" s="13"/>
    </row>
    <row r="16" spans="1:6" ht="12.75">
      <c r="A16" s="4" t="s">
        <v>26</v>
      </c>
      <c r="B16" s="5"/>
      <c r="C16" s="5"/>
      <c r="D16" s="43"/>
      <c r="E16" s="13"/>
      <c r="F16" s="13"/>
    </row>
    <row r="17" spans="1:6" ht="13.5" thickBot="1">
      <c r="A17" s="8" t="s">
        <v>32</v>
      </c>
      <c r="B17" s="9"/>
      <c r="C17" s="9"/>
      <c r="D17" s="11">
        <f>ROUND(C18,2)</f>
        <v>0.33</v>
      </c>
      <c r="E17" s="13"/>
      <c r="F17" s="13"/>
    </row>
    <row r="18" spans="1:6" ht="12.75" customHeight="1" hidden="1">
      <c r="A18" s="91">
        <f>1/A12</f>
        <v>0.6976678106086677</v>
      </c>
      <c r="B18" s="91">
        <f>((1-D5*B11/234)^2)-1</f>
        <v>-0.21112731591443357</v>
      </c>
      <c r="C18" s="91">
        <f>10^6*(A13-B13)/((68*A11^2)*D5^2)</f>
        <v>0.33446207825988694</v>
      </c>
      <c r="D18" s="28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84" t="s">
        <v>57</v>
      </c>
      <c r="B20" s="74"/>
      <c r="C20" s="74"/>
      <c r="D20" s="74"/>
      <c r="E20" s="74"/>
      <c r="F20" s="74"/>
    </row>
    <row r="21" spans="1:6" ht="12.75">
      <c r="A21" s="13" t="s">
        <v>56</v>
      </c>
      <c r="B21" s="13"/>
      <c r="C21" s="13"/>
      <c r="D21" s="13"/>
      <c r="E21" s="13"/>
      <c r="F21" s="13"/>
    </row>
    <row r="22" spans="1:6" ht="12.75">
      <c r="A22" s="13"/>
      <c r="B22" s="13" t="s">
        <v>58</v>
      </c>
      <c r="C22" s="13"/>
      <c r="D22" s="13"/>
      <c r="E22" s="13"/>
      <c r="F22" s="13"/>
    </row>
    <row r="23" spans="1:6" ht="12.75">
      <c r="A23" s="12" t="s">
        <v>55</v>
      </c>
      <c r="B23" s="12"/>
      <c r="C23" s="13"/>
      <c r="D23" s="13"/>
      <c r="E23" s="13"/>
      <c r="F23" s="13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7" sqref="D7"/>
    </sheetView>
  </sheetViews>
  <sheetFormatPr defaultColWidth="9.00390625" defaultRowHeight="12.75"/>
  <cols>
    <col min="3" max="4" width="13.00390625" style="0" bestFit="1" customWidth="1"/>
  </cols>
  <sheetData>
    <row r="1" spans="1:9" ht="15.75">
      <c r="A1" s="64" t="s">
        <v>31</v>
      </c>
      <c r="B1" s="75"/>
      <c r="C1" s="75"/>
      <c r="D1" s="75"/>
      <c r="E1" s="13"/>
      <c r="F1" s="13"/>
      <c r="G1" s="13"/>
      <c r="H1" s="13"/>
      <c r="I1" s="13"/>
    </row>
    <row r="2" spans="1:9" ht="13.5" thickBot="1">
      <c r="A2" s="50"/>
      <c r="B2" s="50"/>
      <c r="C2" s="50"/>
      <c r="D2" s="50"/>
      <c r="E2" s="13"/>
      <c r="F2" s="13"/>
      <c r="G2" s="13"/>
      <c r="H2" s="13"/>
      <c r="I2" s="13"/>
    </row>
    <row r="3" spans="1:9" ht="12.75">
      <c r="A3" s="73" t="s">
        <v>3</v>
      </c>
      <c r="B3" s="85"/>
      <c r="C3" s="47"/>
      <c r="D3" s="86"/>
      <c r="E3" s="13"/>
      <c r="F3" s="13"/>
      <c r="G3" s="13"/>
      <c r="H3" s="13"/>
      <c r="I3" s="13"/>
    </row>
    <row r="4" spans="1:9" ht="12.75">
      <c r="A4" s="69" t="s">
        <v>41</v>
      </c>
      <c r="B4" s="24"/>
      <c r="C4" s="24"/>
      <c r="D4" s="35">
        <v>433</v>
      </c>
      <c r="E4" s="13"/>
      <c r="F4" s="13"/>
      <c r="G4" s="13"/>
      <c r="H4" s="13"/>
      <c r="I4" s="13"/>
    </row>
    <row r="5" spans="1:9" ht="12.75">
      <c r="A5" s="69" t="s">
        <v>42</v>
      </c>
      <c r="B5" s="24"/>
      <c r="C5" s="24"/>
      <c r="D5" s="35">
        <v>145</v>
      </c>
      <c r="E5" s="13"/>
      <c r="F5" s="13"/>
      <c r="G5" s="13"/>
      <c r="H5" s="13"/>
      <c r="I5" s="13"/>
    </row>
    <row r="6" spans="1:9" ht="12.75">
      <c r="A6" s="69" t="s">
        <v>43</v>
      </c>
      <c r="B6" s="24"/>
      <c r="C6" s="24"/>
      <c r="D6" s="35">
        <v>120</v>
      </c>
      <c r="E6" s="13"/>
      <c r="F6" s="13"/>
      <c r="G6" s="13"/>
      <c r="H6" s="13"/>
      <c r="I6" s="13"/>
    </row>
    <row r="7" spans="1:9" ht="13.5" thickBot="1">
      <c r="A7" s="70" t="s">
        <v>44</v>
      </c>
      <c r="B7" s="71"/>
      <c r="C7" s="71"/>
      <c r="D7" s="36">
        <v>2</v>
      </c>
      <c r="E7" s="13"/>
      <c r="F7" s="13"/>
      <c r="G7" s="13"/>
      <c r="H7" s="13"/>
      <c r="I7" s="13"/>
    </row>
    <row r="8" spans="1:9" ht="12.75">
      <c r="A8" s="24"/>
      <c r="B8" s="24"/>
      <c r="C8" s="24"/>
      <c r="D8" s="28"/>
      <c r="E8" s="13"/>
      <c r="F8" s="13"/>
      <c r="G8" s="13"/>
      <c r="H8" s="13"/>
      <c r="I8" s="13"/>
    </row>
    <row r="9" spans="1:9" ht="12.75" hidden="1">
      <c r="A9" s="28">
        <f>3.14159</f>
        <v>3.14159</v>
      </c>
      <c r="B9" s="28">
        <f>71000/D4</f>
        <v>163.97228637413394</v>
      </c>
      <c r="C9" s="28">
        <f>B9/304.8</f>
        <v>0.5379668188127754</v>
      </c>
      <c r="D9" s="28">
        <f>(234/D5)-C9</f>
        <v>1.0758262846355002</v>
      </c>
      <c r="E9" s="13"/>
      <c r="F9" s="13"/>
      <c r="G9" s="13"/>
      <c r="H9" s="13"/>
      <c r="I9" s="13"/>
    </row>
    <row r="10" spans="1:9" ht="12.75" hidden="1">
      <c r="A10" s="28">
        <f>D6/304.8</f>
        <v>0.39370078740157477</v>
      </c>
      <c r="B10" s="28">
        <f>D7/25.4</f>
        <v>0.07874015748031496</v>
      </c>
      <c r="C10" s="28">
        <f>1/D9</f>
        <v>0.9295180962592015</v>
      </c>
      <c r="D10" s="28">
        <f>LN(24*D9/B10)-1</f>
        <v>4.7927448270123145</v>
      </c>
      <c r="E10" s="13"/>
      <c r="F10" s="13"/>
      <c r="G10" s="13"/>
      <c r="H10" s="13"/>
      <c r="I10" s="13"/>
    </row>
    <row r="11" spans="1:9" ht="12.75" hidden="1">
      <c r="A11" s="13">
        <f>((1-(D5*C9/234))^2)-1</f>
        <v>-0.5555851204647356</v>
      </c>
      <c r="B11" s="13">
        <f>1/A10</f>
        <v>2.54</v>
      </c>
      <c r="C11" s="13">
        <f>LN(24*A10/B10)-1</f>
        <v>3.787491742782046</v>
      </c>
      <c r="D11" s="13">
        <f>((A10*D5/234)^2)-1</f>
        <v>-0.9404835722521179</v>
      </c>
      <c r="E11" s="13"/>
      <c r="F11" s="13"/>
      <c r="G11" s="13"/>
      <c r="H11" s="13"/>
      <c r="I11" s="13"/>
    </row>
    <row r="12" spans="1:9" ht="12.75" hidden="1">
      <c r="A12" s="13">
        <f>((10^6)/((68*A9^2)*D5^2))*(C10*D10*A11-B11*C11*D11)</f>
        <v>0.4657910208475254</v>
      </c>
      <c r="B12" s="13">
        <f>A12*(1-(D5/D4)^2)</f>
        <v>0.413557256662324</v>
      </c>
      <c r="C12" s="13">
        <f>10^6/(((2*A9*D4)^2)*B12)</f>
        <v>0.3266852741985048</v>
      </c>
      <c r="D12" s="13"/>
      <c r="E12" s="13"/>
      <c r="F12" s="13"/>
      <c r="G12" s="13"/>
      <c r="H12" s="13"/>
      <c r="I12" s="13"/>
    </row>
    <row r="13" spans="1:9" ht="13.5" thickBot="1">
      <c r="A13" s="46" t="s">
        <v>48</v>
      </c>
      <c r="B13" s="28"/>
      <c r="C13" s="28"/>
      <c r="D13" s="28"/>
      <c r="E13" s="13"/>
      <c r="F13" s="13"/>
      <c r="G13" s="13"/>
      <c r="H13" s="13"/>
      <c r="I13" s="13"/>
    </row>
    <row r="14" spans="1:9" ht="12.75">
      <c r="A14" s="4" t="s">
        <v>45</v>
      </c>
      <c r="B14" s="47"/>
      <c r="C14" s="47"/>
      <c r="D14" s="7">
        <f>ROUND(B9,1)</f>
        <v>164</v>
      </c>
      <c r="E14" s="13"/>
      <c r="F14" s="13"/>
      <c r="G14" s="13"/>
      <c r="H14" s="13"/>
      <c r="I14" s="13"/>
    </row>
    <row r="15" spans="1:9" ht="12.75">
      <c r="A15" s="39" t="s">
        <v>46</v>
      </c>
      <c r="B15" s="40"/>
      <c r="C15" s="40"/>
      <c r="D15" s="21">
        <f>ROUND(B12,2)</f>
        <v>0.41</v>
      </c>
      <c r="E15" s="13"/>
      <c r="F15" s="13"/>
      <c r="G15" s="13"/>
      <c r="H15" s="13"/>
      <c r="I15" s="13"/>
    </row>
    <row r="16" spans="1:9" ht="13.5" thickBot="1">
      <c r="A16" s="8" t="s">
        <v>47</v>
      </c>
      <c r="B16" s="9"/>
      <c r="C16" s="9"/>
      <c r="D16" s="11">
        <f>ROUND(C12,2)</f>
        <v>0.33</v>
      </c>
      <c r="E16" s="13"/>
      <c r="F16" s="13"/>
      <c r="G16" s="13"/>
      <c r="H16" s="13"/>
      <c r="I16" s="13"/>
    </row>
    <row r="17" spans="1:9" ht="15" customHeight="1">
      <c r="A17" s="51"/>
      <c r="B17" s="51"/>
      <c r="C17" s="51"/>
      <c r="D17" s="51"/>
      <c r="E17" s="13"/>
      <c r="F17" s="50"/>
      <c r="G17" s="13"/>
      <c r="H17" s="13"/>
      <c r="I17" s="28"/>
    </row>
    <row r="18" spans="1:9" ht="24.75" customHeight="1">
      <c r="A18" s="50" t="s">
        <v>59</v>
      </c>
      <c r="B18" s="13"/>
      <c r="C18" s="13"/>
      <c r="D18" s="28"/>
      <c r="E18" s="50" t="s">
        <v>54</v>
      </c>
      <c r="F18" s="13"/>
      <c r="G18" s="13"/>
      <c r="H18" s="13"/>
      <c r="I18" s="13"/>
    </row>
    <row r="19" spans="1:9" ht="13.5" customHeight="1">
      <c r="A19" s="13" t="s">
        <v>49</v>
      </c>
      <c r="B19" s="13"/>
      <c r="C19" s="13"/>
      <c r="D19" s="13"/>
      <c r="E19" s="13"/>
      <c r="F19" s="13"/>
      <c r="G19" s="13"/>
      <c r="H19" s="13"/>
      <c r="I19" s="13"/>
    </row>
    <row r="20" spans="1:9" ht="12" customHeight="1">
      <c r="A20" s="13" t="s">
        <v>52</v>
      </c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 t="s">
        <v>53</v>
      </c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 t="s">
        <v>61</v>
      </c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 t="s">
        <v>60</v>
      </c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 t="s">
        <v>110</v>
      </c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 t="s">
        <v>109</v>
      </c>
      <c r="C25" s="13"/>
      <c r="D25" s="13"/>
      <c r="E25" s="13"/>
      <c r="F25" s="13"/>
      <c r="G25" s="13"/>
      <c r="H25" s="13"/>
      <c r="I25" s="13"/>
    </row>
    <row r="26" spans="1:9" ht="12.75">
      <c r="A26" s="12" t="s">
        <v>55</v>
      </c>
      <c r="B26" s="12"/>
      <c r="C26" s="13"/>
      <c r="D26" s="13"/>
      <c r="E26" s="13"/>
      <c r="F26" s="13"/>
      <c r="G26" s="13"/>
      <c r="H26" s="13"/>
      <c r="I26" s="13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1" sqref="F11"/>
    </sheetView>
  </sheetViews>
  <sheetFormatPr defaultColWidth="9.00390625" defaultRowHeight="12.75"/>
  <sheetData>
    <row r="1" spans="1:9" ht="15.75">
      <c r="A1" s="48" t="s">
        <v>98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49" t="s">
        <v>74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 hidden="1">
      <c r="A3" s="49">
        <f>3.14159</f>
        <v>3.14159</v>
      </c>
      <c r="B3" s="13">
        <f>A3*D7*D6</f>
        <v>34557.49</v>
      </c>
      <c r="C3" s="13">
        <f>D8/B3</f>
        <v>0.001446864341131257</v>
      </c>
      <c r="D3" s="13"/>
      <c r="E3" s="13"/>
      <c r="F3" s="13"/>
      <c r="G3" s="13"/>
      <c r="H3" s="13"/>
      <c r="I3" s="13"/>
    </row>
    <row r="4" spans="1:9" ht="12.75">
      <c r="A4" s="49"/>
      <c r="B4" s="13"/>
      <c r="C4" s="13"/>
      <c r="D4" s="13"/>
      <c r="E4" s="13"/>
      <c r="F4" s="13"/>
      <c r="G4" s="13"/>
      <c r="H4" s="13"/>
      <c r="I4" s="13"/>
    </row>
    <row r="5" spans="1:9" ht="12.75">
      <c r="A5" s="50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51" t="s">
        <v>75</v>
      </c>
      <c r="B6" s="13"/>
      <c r="C6" s="13"/>
      <c r="D6" s="52">
        <v>220</v>
      </c>
      <c r="E6" s="13"/>
      <c r="F6" s="13"/>
      <c r="G6" s="13"/>
      <c r="H6" s="13"/>
      <c r="I6" s="13"/>
    </row>
    <row r="7" spans="1:9" ht="12.75">
      <c r="A7" s="51" t="s">
        <v>76</v>
      </c>
      <c r="B7" s="13"/>
      <c r="C7" s="13"/>
      <c r="D7" s="52">
        <v>50</v>
      </c>
      <c r="E7" s="13"/>
      <c r="F7" s="13"/>
      <c r="G7" s="13"/>
      <c r="H7" s="13"/>
      <c r="I7" s="13"/>
    </row>
    <row r="8" spans="1:9" ht="12.75">
      <c r="A8" s="51" t="s">
        <v>77</v>
      </c>
      <c r="B8" s="13"/>
      <c r="C8" s="13"/>
      <c r="D8" s="52">
        <v>50</v>
      </c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50" t="s">
        <v>78</v>
      </c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 t="s">
        <v>90</v>
      </c>
      <c r="G11" s="13"/>
      <c r="H11" s="13"/>
      <c r="I11" s="13"/>
    </row>
    <row r="12" spans="1:9" ht="12.75">
      <c r="A12" s="13" t="s">
        <v>99</v>
      </c>
      <c r="B12" s="13"/>
      <c r="C12" s="13"/>
      <c r="D12" s="13">
        <f>ROUND(1000*C3,2)</f>
        <v>1.45</v>
      </c>
      <c r="E12" s="13"/>
      <c r="F12" s="13" t="s">
        <v>89</v>
      </c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 t="s">
        <v>91</v>
      </c>
      <c r="G13" s="13"/>
      <c r="H13" s="13"/>
      <c r="I13" s="13"/>
    </row>
    <row r="14" spans="1:9" ht="12.75">
      <c r="A14" s="61" t="s">
        <v>79</v>
      </c>
      <c r="B14" s="13"/>
      <c r="C14" s="13"/>
      <c r="D14" s="13"/>
      <c r="E14" s="13"/>
      <c r="F14" s="13" t="s">
        <v>92</v>
      </c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 t="s">
        <v>93</v>
      </c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 t="s">
        <v>94</v>
      </c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 t="s">
        <v>95</v>
      </c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 t="s">
        <v>96</v>
      </c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 t="s">
        <v>97</v>
      </c>
      <c r="H19" s="13"/>
      <c r="I19" s="13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7" sqref="H7"/>
    </sheetView>
  </sheetViews>
  <sheetFormatPr defaultColWidth="9.00390625" defaultRowHeight="12.75"/>
  <sheetData>
    <row r="1" spans="1:10" ht="15">
      <c r="A1" s="53" t="s">
        <v>80</v>
      </c>
      <c r="B1" s="47"/>
      <c r="C1" s="47"/>
      <c r="D1" s="47"/>
      <c r="E1" s="43"/>
      <c r="F1" s="13"/>
      <c r="G1" s="13"/>
      <c r="H1" s="13"/>
      <c r="I1" s="13"/>
      <c r="J1" s="13"/>
    </row>
    <row r="2" spans="1:10" ht="12.75">
      <c r="A2" s="54" t="s">
        <v>81</v>
      </c>
      <c r="B2" s="46"/>
      <c r="C2" s="46"/>
      <c r="D2" s="46"/>
      <c r="E2" s="55"/>
      <c r="F2" s="13"/>
      <c r="G2" s="13"/>
      <c r="H2" s="13"/>
      <c r="I2" s="13"/>
      <c r="J2" s="13"/>
    </row>
    <row r="3" spans="1:10" ht="12.75">
      <c r="A3" s="54"/>
      <c r="B3" s="46"/>
      <c r="C3" s="46"/>
      <c r="D3" s="46"/>
      <c r="E3" s="55"/>
      <c r="F3" s="13"/>
      <c r="G3" s="13" t="s">
        <v>101</v>
      </c>
      <c r="H3" s="13"/>
      <c r="I3" s="13"/>
      <c r="J3" s="13"/>
    </row>
    <row r="4" spans="1:10" ht="12.75">
      <c r="A4" s="39" t="s">
        <v>82</v>
      </c>
      <c r="B4" s="40"/>
      <c r="C4" s="40"/>
      <c r="D4" s="56">
        <v>6</v>
      </c>
      <c r="E4" s="42"/>
      <c r="F4" s="13"/>
      <c r="G4" s="13" t="s">
        <v>102</v>
      </c>
      <c r="H4" s="13"/>
      <c r="I4" s="13"/>
      <c r="J4" s="13"/>
    </row>
    <row r="5" spans="1:10" ht="12.75" thickBot="1">
      <c r="A5" s="57" t="s">
        <v>83</v>
      </c>
      <c r="B5" s="58"/>
      <c r="C5" s="58"/>
      <c r="D5" s="58">
        <f>ROUND(0.025*D4+0.03,2)</f>
        <v>0.18</v>
      </c>
      <c r="E5" s="59"/>
      <c r="F5" s="13"/>
      <c r="G5" s="13" t="s">
        <v>100</v>
      </c>
      <c r="H5" s="13"/>
      <c r="I5" s="13"/>
      <c r="J5" s="13"/>
    </row>
    <row r="6" spans="1:10" ht="12.75" thickBot="1">
      <c r="A6" s="13"/>
      <c r="B6" s="13"/>
      <c r="C6" s="13"/>
      <c r="D6" s="13"/>
      <c r="E6" s="13"/>
      <c r="F6" s="13"/>
      <c r="G6" s="13" t="s">
        <v>103</v>
      </c>
      <c r="H6" s="13"/>
      <c r="I6" s="13"/>
      <c r="J6" s="13"/>
    </row>
    <row r="7" spans="1:10" ht="15">
      <c r="A7" s="53" t="s">
        <v>80</v>
      </c>
      <c r="B7" s="47"/>
      <c r="C7" s="47"/>
      <c r="D7" s="47"/>
      <c r="E7" s="43"/>
      <c r="F7" s="13"/>
      <c r="G7" s="13"/>
      <c r="H7" s="13" t="s">
        <v>55</v>
      </c>
      <c r="I7" s="13"/>
      <c r="J7" s="13"/>
    </row>
    <row r="8" spans="1:10" ht="12.75">
      <c r="A8" s="54" t="s">
        <v>84</v>
      </c>
      <c r="B8" s="46"/>
      <c r="C8" s="46"/>
      <c r="D8" s="46"/>
      <c r="E8" s="55"/>
      <c r="F8" s="13"/>
      <c r="G8" s="13"/>
      <c r="H8" s="13"/>
      <c r="I8" s="13"/>
      <c r="J8" s="13"/>
    </row>
    <row r="9" spans="1:10" ht="12.75">
      <c r="A9" s="41"/>
      <c r="B9" s="28"/>
      <c r="C9" s="28"/>
      <c r="D9" s="28"/>
      <c r="E9" s="42"/>
      <c r="F9" s="13"/>
      <c r="G9" s="13"/>
      <c r="H9" s="13"/>
      <c r="I9" s="13"/>
      <c r="J9" s="13"/>
    </row>
    <row r="10" spans="1:10" ht="12.75">
      <c r="A10" s="39" t="s">
        <v>82</v>
      </c>
      <c r="B10" s="40"/>
      <c r="C10" s="40"/>
      <c r="D10" s="60">
        <v>6</v>
      </c>
      <c r="E10" s="42"/>
      <c r="F10" s="13"/>
      <c r="G10" s="13"/>
      <c r="H10" s="13"/>
      <c r="I10" s="13"/>
      <c r="J10" s="13"/>
    </row>
    <row r="11" spans="1:10" ht="12.75" thickBot="1">
      <c r="A11" s="57" t="s">
        <v>83</v>
      </c>
      <c r="B11" s="58"/>
      <c r="C11" s="58"/>
      <c r="D11" s="58">
        <f>ROUND(0.0538*(D10^(2/3)),2)</f>
        <v>0.18</v>
      </c>
      <c r="E11" s="59"/>
      <c r="F11" s="13"/>
      <c r="G11" s="13"/>
      <c r="H11" s="13"/>
      <c r="I11" s="13"/>
      <c r="J11" s="13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3:5" ht="12.75">
      <c r="C13" s="13"/>
      <c r="D13" s="13"/>
      <c r="E13" s="13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Исаевич Беспальчик</dc:creator>
  <cp:keywords/>
  <dc:description/>
  <cp:lastModifiedBy>AIBES2</cp:lastModifiedBy>
  <dcterms:created xsi:type="dcterms:W3CDTF">1999-08-05T06:32:31Z</dcterms:created>
  <dcterms:modified xsi:type="dcterms:W3CDTF">2002-08-28T10:05:01Z</dcterms:modified>
  <cp:category/>
  <cp:version/>
  <cp:contentType/>
  <cp:contentStatus/>
</cp:coreProperties>
</file>